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0"/>
  </bookViews>
  <sheets>
    <sheet name="Формулы 18(1), 20 и 20(1)" sheetId="1" r:id="rId1"/>
    <sheet name="Лист1" sheetId="2" state="hidden" r:id="rId2"/>
  </sheets>
  <definedNames/>
  <calcPr fullCalcOnLoad="1"/>
</workbook>
</file>

<file path=xl/sharedStrings.xml><?xml version="1.0" encoding="utf-8"?>
<sst xmlns="http://schemas.openxmlformats.org/spreadsheetml/2006/main" count="240" uniqueCount="126">
  <si>
    <t>ОТЧЕТ</t>
  </si>
  <si>
    <t>Корпус 1, 2, 4, 5, 6</t>
  </si>
  <si>
    <t>ЭЭ, кВт/ч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</si>
  <si>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</si>
  <si>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</si>
  <si>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</si>
  <si>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</si>
  <si>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</si>
  <si>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</si>
  <si>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Расход тепловой энергии, Гкал (Vкр)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</si>
  <si>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</si>
  <si>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</si>
  <si>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</si>
  <si>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</si>
  <si>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</si>
  <si>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</si>
  <si>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</si>
  <si>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</si>
  <si>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</si>
  <si>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</si>
  <si>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</si>
  <si>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</si>
  <si>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</si>
  <si>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</si>
  <si>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Главный инженер</t>
  </si>
  <si>
    <t>Шевченко Д.Ю.</t>
  </si>
  <si>
    <t>Стоимость норматива горячего водоснабжения на 1 человека (3,23 куб.м.) с учетом удельного расхода тепловой энергии, рубли (5=3,23*У*N*1)</t>
  </si>
  <si>
    <t>Теплосчетчик общедомовой</t>
  </si>
  <si>
    <t>расход ТЭ, Гкал (Vi)</t>
  </si>
  <si>
    <t xml:space="preserve">95 корп. 1 </t>
  </si>
  <si>
    <t xml:space="preserve">№19011308 </t>
  </si>
  <si>
    <t xml:space="preserve">№19010894 </t>
  </si>
  <si>
    <t>166 корп. 1</t>
  </si>
  <si>
    <t>158 корп. 1</t>
  </si>
  <si>
    <t xml:space="preserve">№ ИПУ ТЭ </t>
  </si>
  <si>
    <t>Si квартиры кв.м.</t>
  </si>
  <si>
    <r>
      <t xml:space="preserve">Объем потребленной за расчетный период тепловой энергии, приходящийся на не оборудованное ИПУ помещение на </t>
    </r>
    <r>
      <rPr>
        <b/>
        <u val="single"/>
        <sz val="11"/>
        <color indexed="8"/>
        <rFont val="Times New Roman"/>
        <family val="1"/>
      </rPr>
      <t>один кв.м.</t>
    </r>
    <r>
      <rPr>
        <sz val="11"/>
        <color indexed="8"/>
        <rFont val="Times New Roman"/>
        <family val="1"/>
      </rPr>
      <t xml:space="preserve"> - Формула 3(7) сумма ИПУ/сумма Si, Гкал/кв.м.</t>
    </r>
  </si>
  <si>
    <t>Сумма ИПУ</t>
  </si>
  <si>
    <t>Сумма Si</t>
  </si>
  <si>
    <t>Объем потребленной за расчетный период тепловой энергии, приходящийся на не оборудованные ИПУ помещения - Формула 3(7) сумма ИПУ/сумма Si х (S-CуммаSi), Гкал/кв.м. (СуммаVi)</t>
  </si>
  <si>
    <t>Удельный расход тепловой энергии на подогрев воды - формула 20.1 Правил №354, Гкал (У=Vкр/(Qот+Qгвс+СуммаVi+СуммаИПУ))</t>
  </si>
  <si>
    <t>Расчет платы за отопление в здании по адресу г.Химки, ул.Лавочкина, д.13 по формуле 18(1) Правил 354</t>
  </si>
  <si>
    <t>Размер платы без СуммыИПУ и СуммыVi, рубли/кв.м. Р=(ТЭ*1+ЭЭ*2)/S</t>
  </si>
  <si>
    <t>105 корп. 2</t>
  </si>
  <si>
    <t>№1911322</t>
  </si>
  <si>
    <t>№19008484</t>
  </si>
  <si>
    <t>Расход тепловой энергии на производство коммунальной услуги отопление без корп.3 и индивидуального потребления, Гкал (Qот=Vкр-Qгвс-СуммаVi-CуммаИПУ)</t>
  </si>
  <si>
    <t>ИТОГО:</t>
  </si>
  <si>
    <t>114 корп. 1</t>
  </si>
  <si>
    <t>№19008760</t>
  </si>
  <si>
    <t>№19008556</t>
  </si>
  <si>
    <t>185 корп. 2</t>
  </si>
  <si>
    <t>56 корп. 2</t>
  </si>
  <si>
    <t>№19010303</t>
  </si>
  <si>
    <t>№ квартиры  корпус</t>
  </si>
  <si>
    <t>Средний индивидуальный расход ТЭ</t>
  </si>
  <si>
    <t>110 корп. 1</t>
  </si>
  <si>
    <t>№19010975</t>
  </si>
  <si>
    <t>Размер платы, руб/кв.м.</t>
  </si>
  <si>
    <t>183 корп. 2</t>
  </si>
  <si>
    <t>№19011437</t>
  </si>
  <si>
    <t>зданием по адресу г.Химки, ул.Лавочкина, д.13</t>
  </si>
  <si>
    <t>66 корп. 1</t>
  </si>
  <si>
    <t>№19008505</t>
  </si>
  <si>
    <t>151 корп. 1</t>
  </si>
  <si>
    <t>№20202809</t>
  </si>
  <si>
    <t>8 корп. 2</t>
  </si>
  <si>
    <t>№1902014</t>
  </si>
  <si>
    <t>№19005986</t>
  </si>
  <si>
    <t>№19005662</t>
  </si>
  <si>
    <t>24 корп. 2</t>
  </si>
  <si>
    <t>№19008467</t>
  </si>
  <si>
    <t>173 корп. 2</t>
  </si>
  <si>
    <t>№1908528</t>
  </si>
  <si>
    <t>41 корп. 2</t>
  </si>
  <si>
    <t>№21010205</t>
  </si>
  <si>
    <t>55 корп. 2</t>
  </si>
  <si>
    <t>№21004204</t>
  </si>
  <si>
    <t>№21010774</t>
  </si>
  <si>
    <t>54 корп. 2</t>
  </si>
  <si>
    <t>№21004336</t>
  </si>
  <si>
    <t>189 корп. 2</t>
  </si>
  <si>
    <t>№21004341</t>
  </si>
  <si>
    <t>190 корп. 2</t>
  </si>
  <si>
    <t>188 корп. 2</t>
  </si>
  <si>
    <t>№20202800</t>
  </si>
  <si>
    <t>№20202915</t>
  </si>
  <si>
    <t>82 корп. 2</t>
  </si>
  <si>
    <t>№20202882</t>
  </si>
  <si>
    <t>21 корп. 2</t>
  </si>
  <si>
    <t>№21010254</t>
  </si>
  <si>
    <t>69 корп. 2</t>
  </si>
  <si>
    <t>№21010920</t>
  </si>
  <si>
    <t>146 корп. 2</t>
  </si>
  <si>
    <t>71 корп. 2</t>
  </si>
  <si>
    <t>№21013931</t>
  </si>
  <si>
    <t>47 корп. 1</t>
  </si>
  <si>
    <t>№21003933</t>
  </si>
  <si>
    <t>55 корп. 1</t>
  </si>
  <si>
    <t>№20202622</t>
  </si>
  <si>
    <t>22 корп. 2</t>
  </si>
  <si>
    <t>№21010885</t>
  </si>
  <si>
    <t>24 корп. 1</t>
  </si>
  <si>
    <t>№20001837</t>
  </si>
  <si>
    <t>151, 178 корп. 2</t>
  </si>
  <si>
    <t>32 корп. 2</t>
  </si>
  <si>
    <t>№20202829</t>
  </si>
  <si>
    <t>90 корп. 2</t>
  </si>
  <si>
    <t>№20202666</t>
  </si>
  <si>
    <t>70 корп. 2</t>
  </si>
  <si>
    <t xml:space="preserve">расчет платы за отопление за май 2022 года </t>
  </si>
  <si>
    <t xml:space="preserve">ошибки прибора              5,02 Гкал            </t>
  </si>
  <si>
    <t>106 корп. 2</t>
  </si>
  <si>
    <t>№22-025424</t>
  </si>
  <si>
    <t>73 корп. 2</t>
  </si>
  <si>
    <t>№22-025426</t>
  </si>
  <si>
    <t>28 корп. 2</t>
  </si>
  <si>
    <t>№22010799</t>
  </si>
  <si>
    <t>№21004209</t>
  </si>
  <si>
    <t>SA-94/2M №024530 (25.10.2026г.)</t>
  </si>
  <si>
    <t>зданием по адресу: г.Химки, ул.Лавочкина, д.13</t>
  </si>
  <si>
    <t>№12051243</t>
  </si>
  <si>
    <t>118 корп. 2</t>
  </si>
  <si>
    <t>&gt;24,1</t>
  </si>
  <si>
    <t xml:space="preserve">расчет платы за отопление за июнь 2023 года </t>
  </si>
  <si>
    <t xml:space="preserve">ошибки прибора 0,757 Гкал       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</si>
</sst>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_-* #,##0.000\ _₽_-;\-* #,##0.000\ _₽_-;_-* &quot;-&quot;??\ _₽_-;_-@_-"/>
    <numFmt numFmtId="197" formatCode="_-* #,##0.0000\ _₽_-;\-* #,##0.0000\ _₽_-;_-* &quot;-&quot;??\ _₽_-;_-@_-"/>
    <numFmt numFmtId="198" formatCode="_-* #,##0.00000\ _₽_-;\-* #,##0.00000\ _₽_-;_-* &quot;-&quot;??\ _₽_-;_-@_-"/>
    <numFmt numFmtId="199" formatCode="_-* #,##0.000\ _₽_-;\-* #,##0.000\ _₽_-;_-* &quot;-&quot;???\ _₽_-;_-@_-"/>
    <numFmt numFmtId="200" formatCode="_-* #,##0.00\ _₽_-;\-* #,##0.00\ _₽_-;_-* &quot;-&quot;???\ _₽_-;_-@_-"/>
    <numFmt numFmtId="201" formatCode="_-* #,##0.0\ _₽_-;\-* #,##0.0\ _₽_-;_-* &quot;-&quot;???\ _₽_-;_-@_-"/>
    <numFmt numFmtId="202" formatCode="_-* #,##0.0\ _₽_-;\-* #,##0.0\ _₽_-;_-* &quot;-&quot;?\ _₽_-;_-@_-"/>
    <numFmt numFmtId="203" formatCode="_(* #,##0.000_);_(* \(#,##0.000\);_(* &quot;-&quot;??_);_(@_)"/>
    <numFmt numFmtId="204" formatCode="_(* #,##0.0_);_(* \(#,##0.0\);_(* &quot;-&quot;??_);_(@_)"/>
    <numFmt numFmtId="205" formatCode="_-* #,##0.00000\ _₽_-;\-* #,##0.00000\ _₽_-;_-* &quot;-&quot;?????\ _₽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 horizontal="left"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2" fontId="4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96" fontId="4" fillId="0" borderId="0" xfId="0" applyNumberFormat="1" applyFont="1" applyAlignment="1">
      <alignment vertical="center"/>
    </xf>
    <xf numFmtId="17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/>
    </xf>
    <xf numFmtId="19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174" fontId="3" fillId="0" borderId="10" xfId="6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1" fontId="10" fillId="0" borderId="0" xfId="0" applyNumberFormat="1" applyFont="1" applyBorder="1" applyAlignment="1">
      <alignment horizontal="center"/>
    </xf>
    <xf numFmtId="199" fontId="2" fillId="0" borderId="0" xfId="0" applyNumberFormat="1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55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 wrapText="1"/>
    </xf>
    <xf numFmtId="181" fontId="7" fillId="0" borderId="15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2" fontId="56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65" fontId="55" fillId="0" borderId="0" xfId="0" applyNumberFormat="1" applyFont="1" applyAlignment="1">
      <alignment horizontal="center" vertical="center"/>
    </xf>
    <xf numFmtId="199" fontId="8" fillId="0" borderId="0" xfId="0" applyNumberFormat="1" applyFont="1" applyAlignment="1">
      <alignment/>
    </xf>
    <xf numFmtId="204" fontId="9" fillId="0" borderId="10" xfId="61" applyNumberFormat="1" applyFont="1" applyBorder="1" applyAlignment="1">
      <alignment horizontal="center"/>
    </xf>
    <xf numFmtId="204" fontId="8" fillId="0" borderId="10" xfId="61" applyNumberFormat="1" applyFont="1" applyBorder="1" applyAlignment="1">
      <alignment/>
    </xf>
    <xf numFmtId="18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02" fontId="4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179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/>
    </xf>
    <xf numFmtId="204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center"/>
    </xf>
    <xf numFmtId="181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65" fontId="13" fillId="33" borderId="10" xfId="0" applyNumberFormat="1" applyFont="1" applyFill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181" fontId="9" fillId="0" borderId="10" xfId="0" applyNumberFormat="1" applyFont="1" applyBorder="1" applyAlignment="1">
      <alignment horizontal="center"/>
    </xf>
    <xf numFmtId="165" fontId="13" fillId="33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4" fontId="9" fillId="0" borderId="10" xfId="61" applyFont="1" applyBorder="1" applyAlignment="1">
      <alignment horizontal="center" vertical="center" wrapText="1"/>
    </xf>
    <xf numFmtId="204" fontId="9" fillId="33" borderId="10" xfId="61" applyNumberFormat="1" applyFont="1" applyFill="1" applyBorder="1" applyAlignment="1">
      <alignment horizontal="center"/>
    </xf>
    <xf numFmtId="174" fontId="9" fillId="33" borderId="10" xfId="61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165" fontId="13" fillId="10" borderId="10" xfId="0" applyNumberFormat="1" applyFont="1" applyFill="1" applyBorder="1" applyAlignment="1">
      <alignment horizontal="right"/>
    </xf>
    <xf numFmtId="165" fontId="13" fillId="1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04" fontId="9" fillId="0" borderId="10" xfId="61" applyNumberFormat="1" applyFont="1" applyFill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04" fontId="9" fillId="34" borderId="10" xfId="61" applyNumberFormat="1" applyFont="1" applyFill="1" applyBorder="1" applyAlignment="1">
      <alignment horizontal="center"/>
    </xf>
    <xf numFmtId="174" fontId="9" fillId="34" borderId="10" xfId="61" applyNumberFormat="1" applyFont="1" applyFill="1" applyBorder="1" applyAlignment="1">
      <alignment horizontal="center"/>
    </xf>
    <xf numFmtId="181" fontId="9" fillId="33" borderId="13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181" fontId="4" fillId="33" borderId="0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04" fontId="9" fillId="0" borderId="18" xfId="61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204" fontId="9" fillId="0" borderId="20" xfId="61" applyNumberFormat="1" applyFont="1" applyBorder="1" applyAlignment="1">
      <alignment horizontal="center"/>
    </xf>
    <xf numFmtId="181" fontId="9" fillId="0" borderId="20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181" fontId="9" fillId="0" borderId="19" xfId="0" applyNumberFormat="1" applyFont="1" applyBorder="1" applyAlignment="1">
      <alignment horizontal="center"/>
    </xf>
    <xf numFmtId="181" fontId="9" fillId="0" borderId="18" xfId="0" applyNumberFormat="1" applyFont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181" fontId="4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33" borderId="10" xfId="0" applyFont="1" applyFill="1" applyBorder="1" applyAlignment="1">
      <alignment horizontal="center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/>
    </xf>
    <xf numFmtId="165" fontId="13" fillId="33" borderId="2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2" fillId="0" borderId="13" xfId="61" applyNumberFormat="1" applyFont="1" applyBorder="1" applyAlignment="1">
      <alignment horizontal="right"/>
    </xf>
    <xf numFmtId="2" fontId="2" fillId="0" borderId="16" xfId="61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204" fontId="9" fillId="0" borderId="27" xfId="61" applyNumberFormat="1" applyFont="1" applyBorder="1" applyAlignment="1">
      <alignment horizontal="center" vertical="center"/>
    </xf>
    <xf numFmtId="204" fontId="9" fillId="0" borderId="18" xfId="61" applyNumberFormat="1" applyFont="1" applyBorder="1" applyAlignment="1">
      <alignment horizontal="center" vertical="center"/>
    </xf>
    <xf numFmtId="165" fontId="13" fillId="33" borderId="27" xfId="0" applyNumberFormat="1" applyFont="1" applyFill="1" applyBorder="1" applyAlignment="1">
      <alignment horizontal="center" vertical="center"/>
    </xf>
    <xf numFmtId="165" fontId="13" fillId="33" borderId="18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/>
    </xf>
    <xf numFmtId="2" fontId="10" fillId="0" borderId="13" xfId="61" applyNumberFormat="1" applyFont="1" applyBorder="1" applyAlignment="1">
      <alignment horizontal="right"/>
    </xf>
    <xf numFmtId="2" fontId="10" fillId="0" borderId="16" xfId="61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165" fontId="13" fillId="10" borderId="27" xfId="0" applyNumberFormat="1" applyFont="1" applyFill="1" applyBorder="1" applyAlignment="1">
      <alignment horizontal="center" vertical="center"/>
    </xf>
    <xf numFmtId="165" fontId="13" fillId="10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-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PageLayoutView="0" workbookViewId="0" topLeftCell="A46">
      <selection activeCell="F49" sqref="F49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9.7109375" style="1" customWidth="1"/>
    <col min="11" max="16384" width="9.140625" style="1" customWidth="1"/>
  </cols>
  <sheetData>
    <row r="1" spans="1:7" ht="18.75">
      <c r="A1" s="145" t="s">
        <v>0</v>
      </c>
      <c r="B1" s="145"/>
      <c r="C1" s="145"/>
      <c r="D1" s="145"/>
      <c r="E1" s="145"/>
      <c r="F1" s="145"/>
      <c r="G1" s="145"/>
    </row>
    <row r="2" spans="1:7" ht="18.75">
      <c r="A2" s="145" t="s">
        <v>124</v>
      </c>
      <c r="B2" s="145"/>
      <c r="C2" s="145"/>
      <c r="D2" s="145"/>
      <c r="E2" s="145"/>
      <c r="F2" s="145"/>
      <c r="G2" s="145"/>
    </row>
    <row r="3" spans="1:7" ht="18.75">
      <c r="A3" s="145" t="s">
        <v>120</v>
      </c>
      <c r="B3" s="145"/>
      <c r="C3" s="145"/>
      <c r="D3" s="145"/>
      <c r="E3" s="145"/>
      <c r="F3" s="145"/>
      <c r="G3" s="145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116">
        <v>31.515</v>
      </c>
      <c r="D6" s="116">
        <v>31.515</v>
      </c>
      <c r="E6" s="108">
        <f>D6-C6</f>
        <v>0</v>
      </c>
      <c r="F6" s="76"/>
      <c r="G6" s="72">
        <v>99.7</v>
      </c>
      <c r="H6" s="74">
        <f>E6*F50/G6+E67</f>
        <v>0</v>
      </c>
      <c r="J6" s="75"/>
    </row>
    <row r="7" spans="1:10" ht="15.75">
      <c r="A7" s="69" t="s">
        <v>96</v>
      </c>
      <c r="B7" s="70" t="s">
        <v>97</v>
      </c>
      <c r="C7" s="71"/>
      <c r="D7" s="71"/>
      <c r="E7" s="10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94">
        <v>7.442</v>
      </c>
      <c r="D8" s="94">
        <v>7.442</v>
      </c>
      <c r="E8" s="108">
        <f aca="true" t="shared" si="0" ref="E8:E20">D8-C8</f>
        <v>0</v>
      </c>
      <c r="F8" s="27"/>
      <c r="G8" s="72">
        <v>83.5</v>
      </c>
      <c r="H8" s="74">
        <f>E8*F50/G8+E67</f>
        <v>0</v>
      </c>
    </row>
    <row r="9" spans="1:8" ht="15.75">
      <c r="A9" s="69" t="s">
        <v>62</v>
      </c>
      <c r="B9" s="70" t="s">
        <v>63</v>
      </c>
      <c r="C9" s="94">
        <v>15.966</v>
      </c>
      <c r="D9" s="94">
        <v>15.966</v>
      </c>
      <c r="E9" s="108">
        <f t="shared" si="0"/>
        <v>0</v>
      </c>
      <c r="F9" s="27"/>
      <c r="G9" s="72">
        <v>45.3</v>
      </c>
      <c r="H9" s="74">
        <f>E9*F50/G9+E67</f>
        <v>0</v>
      </c>
    </row>
    <row r="10" spans="1:8" ht="19.5" customHeight="1">
      <c r="A10" s="35" t="s">
        <v>29</v>
      </c>
      <c r="B10" s="36" t="s">
        <v>30</v>
      </c>
      <c r="C10" s="73">
        <v>21.051</v>
      </c>
      <c r="D10" s="73">
        <v>21.051</v>
      </c>
      <c r="E10" s="108">
        <f t="shared" si="0"/>
        <v>0</v>
      </c>
      <c r="F10" s="37"/>
      <c r="G10" s="51">
        <v>79.7</v>
      </c>
      <c r="H10" s="74">
        <f>E10*F50/G10+E67</f>
        <v>0</v>
      </c>
    </row>
    <row r="11" spans="1:10" ht="19.5" customHeight="1">
      <c r="A11" s="35" t="s">
        <v>56</v>
      </c>
      <c r="B11" s="36" t="s">
        <v>57</v>
      </c>
      <c r="C11" s="117">
        <v>29.2</v>
      </c>
      <c r="D11" s="117">
        <v>29.2</v>
      </c>
      <c r="E11" s="108">
        <f t="shared" si="0"/>
        <v>0</v>
      </c>
      <c r="F11" s="37"/>
      <c r="G11" s="51">
        <v>106</v>
      </c>
      <c r="H11" s="74">
        <f>E11*F50/G11+E67</f>
        <v>0</v>
      </c>
      <c r="J11" s="75"/>
    </row>
    <row r="12" spans="1:8" ht="19.5" customHeight="1">
      <c r="A12" s="35" t="s">
        <v>48</v>
      </c>
      <c r="B12" s="36" t="s">
        <v>49</v>
      </c>
      <c r="C12" s="73">
        <v>42.152</v>
      </c>
      <c r="D12" s="73">
        <v>42.152</v>
      </c>
      <c r="E12" s="108">
        <f t="shared" si="0"/>
        <v>0</v>
      </c>
      <c r="F12" s="37"/>
      <c r="G12" s="51">
        <v>115.8</v>
      </c>
      <c r="H12" s="74">
        <f>E12*F50/G12+E67</f>
        <v>0</v>
      </c>
    </row>
    <row r="13" spans="1:11" ht="19.5" customHeight="1">
      <c r="A13" s="35" t="s">
        <v>64</v>
      </c>
      <c r="B13" s="36" t="s">
        <v>65</v>
      </c>
      <c r="C13" s="73">
        <v>4.692</v>
      </c>
      <c r="D13" s="73">
        <v>4.692</v>
      </c>
      <c r="E13" s="108">
        <f t="shared" si="0"/>
        <v>0</v>
      </c>
      <c r="F13" s="37"/>
      <c r="G13" s="51">
        <v>85.5</v>
      </c>
      <c r="H13" s="74">
        <f>E13*F50/G13+E67</f>
        <v>0</v>
      </c>
      <c r="J13" s="75"/>
      <c r="K13" s="96"/>
    </row>
    <row r="14" spans="1:11" ht="19.5" customHeight="1">
      <c r="A14" s="35" t="s">
        <v>33</v>
      </c>
      <c r="B14" s="36" t="s">
        <v>31</v>
      </c>
      <c r="C14" s="73">
        <v>20.297</v>
      </c>
      <c r="D14" s="73">
        <v>20.297</v>
      </c>
      <c r="E14" s="108">
        <f>D14-C14</f>
        <v>0</v>
      </c>
      <c r="F14" s="37"/>
      <c r="G14" s="51">
        <v>80.6</v>
      </c>
      <c r="H14" s="74">
        <f>E14*F50/G14+E67</f>
        <v>0</v>
      </c>
      <c r="J14" s="75"/>
      <c r="K14" s="96"/>
    </row>
    <row r="15" spans="1:10" ht="19.5" customHeight="1" thickBot="1">
      <c r="A15" s="103" t="s">
        <v>32</v>
      </c>
      <c r="B15" s="104" t="s">
        <v>44</v>
      </c>
      <c r="C15" s="107">
        <v>32.3</v>
      </c>
      <c r="D15" s="107">
        <v>32.3</v>
      </c>
      <c r="E15" s="109">
        <f t="shared" si="0"/>
        <v>0</v>
      </c>
      <c r="F15" s="105"/>
      <c r="G15" s="106">
        <v>104</v>
      </c>
      <c r="H15" s="118">
        <f>E15*F50/G15+E67</f>
        <v>0</v>
      </c>
      <c r="J15" s="75"/>
    </row>
    <row r="16" spans="1:11" ht="19.5" customHeight="1">
      <c r="A16" s="98" t="s">
        <v>66</v>
      </c>
      <c r="B16" s="99" t="s">
        <v>67</v>
      </c>
      <c r="C16" s="110"/>
      <c r="D16" s="110"/>
      <c r="E16" s="100"/>
      <c r="F16" s="101"/>
      <c r="G16" s="102"/>
      <c r="H16" s="74"/>
      <c r="J16" s="75">
        <v>110</v>
      </c>
      <c r="K16" s="75"/>
    </row>
    <row r="17" spans="1:10" ht="19.5" customHeight="1">
      <c r="A17" s="35" t="s">
        <v>89</v>
      </c>
      <c r="B17" s="36" t="s">
        <v>90</v>
      </c>
      <c r="C17" s="115">
        <v>4.166</v>
      </c>
      <c r="D17" s="115">
        <v>4.166</v>
      </c>
      <c r="E17" s="82">
        <f t="shared" si="0"/>
        <v>0</v>
      </c>
      <c r="F17" s="37"/>
      <c r="G17" s="51">
        <v>79.4</v>
      </c>
      <c r="H17" s="74">
        <f>E17*F50/G17+E67</f>
        <v>0</v>
      </c>
      <c r="J17" s="75"/>
    </row>
    <row r="18" spans="1:11" ht="19.5" customHeight="1">
      <c r="A18" s="112" t="s">
        <v>100</v>
      </c>
      <c r="B18" s="36" t="s">
        <v>101</v>
      </c>
      <c r="C18" s="64">
        <v>6.485</v>
      </c>
      <c r="D18" s="64">
        <v>6.485</v>
      </c>
      <c r="E18" s="82">
        <f t="shared" si="0"/>
        <v>0</v>
      </c>
      <c r="F18" s="37"/>
      <c r="G18" s="51">
        <v>51.8</v>
      </c>
      <c r="H18" s="74">
        <f>E18*F50/G18+E67</f>
        <v>0</v>
      </c>
      <c r="J18" s="75"/>
      <c r="K18" s="75"/>
    </row>
    <row r="19" spans="1:10" ht="19.5" customHeight="1">
      <c r="A19" s="35" t="s">
        <v>70</v>
      </c>
      <c r="B19" s="36" t="s">
        <v>71</v>
      </c>
      <c r="C19" s="37"/>
      <c r="D19" s="37"/>
      <c r="E19" s="82"/>
      <c r="F19" s="37"/>
      <c r="G19" s="51"/>
      <c r="H19" s="74"/>
      <c r="J19" s="75">
        <v>110.8</v>
      </c>
    </row>
    <row r="20" spans="1:11" ht="19.5" customHeight="1">
      <c r="A20" s="35" t="s">
        <v>116</v>
      </c>
      <c r="B20" s="36" t="s">
        <v>117</v>
      </c>
      <c r="C20" s="73">
        <v>6.313</v>
      </c>
      <c r="D20" s="73">
        <v>6.313</v>
      </c>
      <c r="E20" s="95">
        <f t="shared" si="0"/>
        <v>0</v>
      </c>
      <c r="F20" s="37"/>
      <c r="G20" s="51">
        <v>109.9</v>
      </c>
      <c r="H20" s="74">
        <f>E20*F50/G20+E67</f>
        <v>0</v>
      </c>
      <c r="J20" s="75"/>
      <c r="K20" s="75"/>
    </row>
    <row r="21" spans="1:10" ht="19.5" customHeight="1">
      <c r="A21" s="35" t="s">
        <v>105</v>
      </c>
      <c r="B21" s="36" t="s">
        <v>106</v>
      </c>
      <c r="C21" s="115"/>
      <c r="D21" s="115"/>
      <c r="E21" s="38"/>
      <c r="F21" s="37"/>
      <c r="G21" s="77"/>
      <c r="H21" s="68"/>
      <c r="J21" s="75">
        <v>110.4</v>
      </c>
    </row>
    <row r="22" spans="1:11" ht="19.5" customHeight="1">
      <c r="A22" s="35" t="s">
        <v>74</v>
      </c>
      <c r="B22" s="36" t="s">
        <v>75</v>
      </c>
      <c r="C22" s="73">
        <v>3.996</v>
      </c>
      <c r="D22" s="73">
        <v>3.996</v>
      </c>
      <c r="E22" s="108">
        <f aca="true" t="shared" si="1" ref="E22:E29">D22-C22</f>
        <v>0</v>
      </c>
      <c r="F22" s="37"/>
      <c r="G22" s="77">
        <v>78.7</v>
      </c>
      <c r="H22" s="68">
        <f>E22*F50/G22+E67</f>
        <v>0</v>
      </c>
      <c r="J22" s="75"/>
      <c r="K22" s="75"/>
    </row>
    <row r="23" spans="1:11" ht="19.5" customHeight="1">
      <c r="A23" s="35" t="s">
        <v>79</v>
      </c>
      <c r="B23" s="36" t="s">
        <v>80</v>
      </c>
      <c r="C23" s="73">
        <v>3.503</v>
      </c>
      <c r="D23" s="73">
        <v>3.503</v>
      </c>
      <c r="E23" s="108">
        <f t="shared" si="1"/>
        <v>0</v>
      </c>
      <c r="F23" s="37"/>
      <c r="G23" s="77">
        <v>50.8</v>
      </c>
      <c r="H23" s="68">
        <f>E23*F50/G23+E67</f>
        <v>0</v>
      </c>
      <c r="J23" s="75"/>
      <c r="K23" s="75"/>
    </row>
    <row r="24" spans="1:11" ht="19.5" customHeight="1">
      <c r="A24" s="35" t="s">
        <v>76</v>
      </c>
      <c r="B24" s="36" t="s">
        <v>77</v>
      </c>
      <c r="C24" s="73">
        <v>2.159</v>
      </c>
      <c r="D24" s="73">
        <v>2.159</v>
      </c>
      <c r="E24" s="108">
        <f t="shared" si="1"/>
        <v>0</v>
      </c>
      <c r="F24" s="83"/>
      <c r="G24" s="84">
        <v>50.8</v>
      </c>
      <c r="H24" s="68">
        <f>E24*F50/G24+E67</f>
        <v>0</v>
      </c>
      <c r="J24" s="75"/>
      <c r="K24" s="75"/>
    </row>
    <row r="25" spans="1:11" ht="19.5" customHeight="1">
      <c r="A25" s="35" t="s">
        <v>52</v>
      </c>
      <c r="B25" s="36" t="s">
        <v>53</v>
      </c>
      <c r="C25" s="73">
        <v>36.7</v>
      </c>
      <c r="D25" s="73">
        <v>36.7</v>
      </c>
      <c r="E25" s="108">
        <f t="shared" si="1"/>
        <v>0</v>
      </c>
      <c r="F25" s="37"/>
      <c r="G25" s="77">
        <v>114.4</v>
      </c>
      <c r="H25" s="68">
        <f>E25*F50/G25+E67</f>
        <v>0</v>
      </c>
      <c r="J25" s="75"/>
      <c r="K25" s="75"/>
    </row>
    <row r="26" spans="1:11" ht="19.5" customHeight="1">
      <c r="A26" s="35" t="s">
        <v>91</v>
      </c>
      <c r="B26" s="36" t="s">
        <v>92</v>
      </c>
      <c r="C26" s="73">
        <v>4.775</v>
      </c>
      <c r="D26" s="73">
        <v>4.775</v>
      </c>
      <c r="E26" s="108">
        <f t="shared" si="1"/>
        <v>0</v>
      </c>
      <c r="F26" s="37"/>
      <c r="G26" s="78">
        <v>60.98</v>
      </c>
      <c r="H26" s="68">
        <f>E26*F50/G26+E67</f>
        <v>0</v>
      </c>
      <c r="J26" s="75"/>
      <c r="K26" s="75"/>
    </row>
    <row r="27" spans="1:11" ht="19.5" customHeight="1">
      <c r="A27" s="35" t="s">
        <v>109</v>
      </c>
      <c r="B27" s="36" t="s">
        <v>118</v>
      </c>
      <c r="C27" s="73">
        <v>0.95</v>
      </c>
      <c r="D27" s="73">
        <v>0.95</v>
      </c>
      <c r="E27" s="108">
        <f t="shared" si="1"/>
        <v>0</v>
      </c>
      <c r="F27" s="37"/>
      <c r="G27" s="78">
        <v>48.8</v>
      </c>
      <c r="H27" s="68">
        <f>E27*F50/G27+E67</f>
        <v>0</v>
      </c>
      <c r="J27" s="75"/>
      <c r="K27" s="75"/>
    </row>
    <row r="28" spans="1:11" ht="19.5" customHeight="1">
      <c r="A28" s="35" t="s">
        <v>94</v>
      </c>
      <c r="B28" s="36" t="s">
        <v>78</v>
      </c>
      <c r="C28" s="73">
        <v>0.217</v>
      </c>
      <c r="D28" s="73">
        <v>0.217</v>
      </c>
      <c r="E28" s="95">
        <f t="shared" si="1"/>
        <v>0</v>
      </c>
      <c r="F28" s="83"/>
      <c r="G28" s="84">
        <v>47.3</v>
      </c>
      <c r="H28" s="68">
        <f>E28*F50/G28+E67</f>
        <v>0</v>
      </c>
      <c r="J28" s="75"/>
      <c r="K28" s="75"/>
    </row>
    <row r="29" spans="1:11" ht="19.5" customHeight="1">
      <c r="A29" s="35" t="s">
        <v>114</v>
      </c>
      <c r="B29" s="36" t="s">
        <v>115</v>
      </c>
      <c r="C29" s="73">
        <v>4.2</v>
      </c>
      <c r="D29" s="73">
        <v>4.2</v>
      </c>
      <c r="E29" s="92">
        <f t="shared" si="1"/>
        <v>0</v>
      </c>
      <c r="F29" s="83"/>
      <c r="G29" s="77">
        <v>107.2</v>
      </c>
      <c r="H29" s="68">
        <f>E29*F50/G29+E67</f>
        <v>0</v>
      </c>
      <c r="J29" s="75"/>
      <c r="K29" s="75"/>
    </row>
    <row r="30" spans="1:11" ht="19.5" customHeight="1">
      <c r="A30" s="35" t="s">
        <v>87</v>
      </c>
      <c r="B30" s="36" t="s">
        <v>88</v>
      </c>
      <c r="C30" s="37"/>
      <c r="D30" s="37"/>
      <c r="E30" s="79"/>
      <c r="F30" s="37"/>
      <c r="G30" s="77"/>
      <c r="H30" s="68"/>
      <c r="J30" s="75">
        <v>48.8</v>
      </c>
      <c r="K30" s="75"/>
    </row>
    <row r="31" spans="1:8" ht="19.5" customHeight="1">
      <c r="A31" s="35" t="s">
        <v>107</v>
      </c>
      <c r="B31" s="36" t="s">
        <v>108</v>
      </c>
      <c r="C31" s="37">
        <v>3.724</v>
      </c>
      <c r="D31" s="37">
        <v>3.724</v>
      </c>
      <c r="E31" s="92">
        <f aca="true" t="shared" si="2" ref="E31:E37">D31-C31</f>
        <v>0</v>
      </c>
      <c r="F31" s="37"/>
      <c r="G31" s="77">
        <v>48.8</v>
      </c>
      <c r="H31" s="68">
        <f>E31*F50/G31+E67</f>
        <v>0</v>
      </c>
    </row>
    <row r="32" spans="1:12" ht="19.5" customHeight="1">
      <c r="A32" s="111" t="s">
        <v>43</v>
      </c>
      <c r="B32" s="36" t="s">
        <v>45</v>
      </c>
      <c r="C32" s="37">
        <v>24.3</v>
      </c>
      <c r="D32" s="37">
        <v>24.3</v>
      </c>
      <c r="E32" s="92">
        <f t="shared" si="2"/>
        <v>0</v>
      </c>
      <c r="F32" s="37"/>
      <c r="G32" s="77">
        <v>111.8</v>
      </c>
      <c r="H32" s="68">
        <f>E32*F50/G32+E67</f>
        <v>0</v>
      </c>
      <c r="J32" s="75" t="s">
        <v>123</v>
      </c>
      <c r="L32" s="75"/>
    </row>
    <row r="33" spans="1:12" ht="19.5" customHeight="1">
      <c r="A33" s="36" t="s">
        <v>112</v>
      </c>
      <c r="B33" s="61" t="s">
        <v>113</v>
      </c>
      <c r="C33" s="37">
        <v>1.026</v>
      </c>
      <c r="D33" s="37">
        <v>1.026</v>
      </c>
      <c r="E33" s="95">
        <f t="shared" si="2"/>
        <v>0</v>
      </c>
      <c r="F33" s="37"/>
      <c r="G33" s="77">
        <v>50.6</v>
      </c>
      <c r="H33" s="68">
        <f>E33*F50/G33+E67</f>
        <v>0</v>
      </c>
      <c r="J33" s="75"/>
      <c r="L33" s="75"/>
    </row>
    <row r="34" spans="1:12" ht="19.5" customHeight="1">
      <c r="A34" s="36" t="s">
        <v>122</v>
      </c>
      <c r="B34" s="61" t="s">
        <v>121</v>
      </c>
      <c r="C34" s="37">
        <v>1.304</v>
      </c>
      <c r="D34" s="37">
        <v>1.304</v>
      </c>
      <c r="E34" s="95">
        <f t="shared" si="2"/>
        <v>0</v>
      </c>
      <c r="F34" s="37"/>
      <c r="G34" s="77"/>
      <c r="H34" s="68"/>
      <c r="J34" s="75">
        <v>120.6</v>
      </c>
      <c r="L34" s="75"/>
    </row>
    <row r="35" spans="1:10" ht="19.5" customHeight="1">
      <c r="A35" s="36" t="s">
        <v>93</v>
      </c>
      <c r="B35" s="61" t="s">
        <v>95</v>
      </c>
      <c r="C35" s="73">
        <v>6.5</v>
      </c>
      <c r="D35" s="73">
        <v>6.5</v>
      </c>
      <c r="E35" s="95">
        <f t="shared" si="2"/>
        <v>0</v>
      </c>
      <c r="F35" s="83"/>
      <c r="G35" s="84">
        <v>105.6</v>
      </c>
      <c r="H35" s="68">
        <f>E35*F50/G35+E67</f>
        <v>0</v>
      </c>
      <c r="J35" s="75"/>
    </row>
    <row r="36" spans="1:8" ht="19.5" customHeight="1">
      <c r="A36" s="146" t="s">
        <v>104</v>
      </c>
      <c r="B36" s="61" t="s">
        <v>68</v>
      </c>
      <c r="C36" s="73">
        <v>22.677</v>
      </c>
      <c r="D36" s="73">
        <v>22.677</v>
      </c>
      <c r="E36" s="92">
        <f t="shared" si="2"/>
        <v>0</v>
      </c>
      <c r="F36" s="37"/>
      <c r="G36" s="148">
        <v>213.8</v>
      </c>
      <c r="H36" s="150">
        <f>(E36+E37)*F50/G36+E67</f>
        <v>0</v>
      </c>
    </row>
    <row r="37" spans="1:8" ht="19.5" customHeight="1">
      <c r="A37" s="147"/>
      <c r="B37" s="61" t="s">
        <v>69</v>
      </c>
      <c r="C37" s="73">
        <v>15.507</v>
      </c>
      <c r="D37" s="73">
        <v>15.507</v>
      </c>
      <c r="E37" s="92">
        <f t="shared" si="2"/>
        <v>0</v>
      </c>
      <c r="F37" s="37"/>
      <c r="G37" s="149"/>
      <c r="H37" s="151"/>
    </row>
    <row r="38" spans="1:10" ht="19.5" customHeight="1">
      <c r="A38" s="36" t="s">
        <v>72</v>
      </c>
      <c r="B38" s="61" t="s">
        <v>73</v>
      </c>
      <c r="C38" s="115"/>
      <c r="D38" s="115"/>
      <c r="E38" s="79"/>
      <c r="F38" s="37"/>
      <c r="G38" s="51"/>
      <c r="H38" s="68"/>
      <c r="J38" s="75">
        <v>74.6</v>
      </c>
    </row>
    <row r="39" spans="1:11" ht="19.5" customHeight="1">
      <c r="A39" s="36" t="s">
        <v>59</v>
      </c>
      <c r="B39" s="61" t="s">
        <v>60</v>
      </c>
      <c r="C39" s="117">
        <v>32.6</v>
      </c>
      <c r="D39" s="117">
        <v>32.6</v>
      </c>
      <c r="E39" s="92">
        <f>D39-C39</f>
        <v>0</v>
      </c>
      <c r="F39" s="37"/>
      <c r="G39" s="51">
        <v>107.2</v>
      </c>
      <c r="H39" s="68">
        <f>E39*F50/G39+E67</f>
        <v>0</v>
      </c>
      <c r="J39" s="75"/>
      <c r="K39" s="75"/>
    </row>
    <row r="40" spans="1:8" ht="19.5" customHeight="1">
      <c r="A40" s="36" t="s">
        <v>51</v>
      </c>
      <c r="B40" s="61" t="s">
        <v>50</v>
      </c>
      <c r="C40" s="117">
        <v>7.098</v>
      </c>
      <c r="D40" s="117">
        <v>7.098</v>
      </c>
      <c r="E40" s="92">
        <f>D40-C40</f>
        <v>0</v>
      </c>
      <c r="F40" s="37"/>
      <c r="G40" s="51">
        <v>74.4</v>
      </c>
      <c r="H40" s="68">
        <f>E40*F50/G40+E67</f>
        <v>0</v>
      </c>
    </row>
    <row r="41" spans="1:10" ht="19.5" customHeight="1">
      <c r="A41" s="35" t="s">
        <v>84</v>
      </c>
      <c r="B41" s="36" t="s">
        <v>85</v>
      </c>
      <c r="C41" s="117">
        <v>5.337</v>
      </c>
      <c r="D41" s="117">
        <v>5.337</v>
      </c>
      <c r="E41" s="92">
        <f>D41-C41</f>
        <v>0</v>
      </c>
      <c r="F41" s="37"/>
      <c r="G41" s="51">
        <v>78.8</v>
      </c>
      <c r="H41" s="68">
        <f>E41*F50/G41+E67</f>
        <v>0</v>
      </c>
      <c r="J41" s="75"/>
    </row>
    <row r="42" spans="1:10" ht="19.5" customHeight="1">
      <c r="A42" s="35" t="s">
        <v>81</v>
      </c>
      <c r="B42" s="36" t="s">
        <v>82</v>
      </c>
      <c r="C42" s="117">
        <v>6.291</v>
      </c>
      <c r="D42" s="117">
        <v>6.291</v>
      </c>
      <c r="E42" s="92">
        <f>D42-C42</f>
        <v>0</v>
      </c>
      <c r="F42" s="37"/>
      <c r="G42" s="51">
        <v>78.6</v>
      </c>
      <c r="H42" s="68">
        <f>E42*F50/G42+E67</f>
        <v>0</v>
      </c>
      <c r="J42" s="75"/>
    </row>
    <row r="43" spans="1:8" ht="19.5" customHeight="1">
      <c r="A43" s="35" t="s">
        <v>83</v>
      </c>
      <c r="B43" s="61" t="s">
        <v>86</v>
      </c>
      <c r="C43" s="73">
        <v>8.346</v>
      </c>
      <c r="D43" s="73">
        <v>8.346</v>
      </c>
      <c r="E43" s="108">
        <f>D43-C43</f>
        <v>0</v>
      </c>
      <c r="F43" s="37"/>
      <c r="G43" s="51">
        <v>112.6</v>
      </c>
      <c r="H43" s="68">
        <f>E43*F50/G43+E67</f>
        <v>0</v>
      </c>
    </row>
    <row r="44" spans="1:10" ht="19.5" customHeight="1">
      <c r="A44" s="131"/>
      <c r="B44" s="132"/>
      <c r="C44" s="39"/>
      <c r="D44" s="54" t="s">
        <v>37</v>
      </c>
      <c r="E44" s="89">
        <f>SUM(E6:E43)</f>
        <v>0</v>
      </c>
      <c r="F44" s="53" t="s">
        <v>38</v>
      </c>
      <c r="G44" s="52">
        <f>SUM(G6:G43)</f>
        <v>2582.3799999999997</v>
      </c>
      <c r="H44" s="2"/>
      <c r="J44" s="55"/>
    </row>
    <row r="45" spans="1:7" ht="19.5" customHeight="1">
      <c r="A45" s="31"/>
      <c r="B45" s="31"/>
      <c r="C45" s="32"/>
      <c r="D45" s="32"/>
      <c r="E45" s="32"/>
      <c r="F45" s="29"/>
      <c r="G45" s="30"/>
    </row>
    <row r="46" spans="1:7" ht="19.5" customHeight="1" thickBot="1">
      <c r="A46" s="19"/>
      <c r="B46" s="19"/>
      <c r="C46" s="20"/>
      <c r="D46" s="20"/>
      <c r="E46" s="20"/>
      <c r="F46" s="4"/>
      <c r="G46" s="4"/>
    </row>
    <row r="47" spans="1:7" ht="33" customHeight="1" thickBot="1">
      <c r="A47" s="133" t="s">
        <v>27</v>
      </c>
      <c r="B47" s="134"/>
      <c r="C47" s="137" t="s">
        <v>3</v>
      </c>
      <c r="D47" s="138"/>
      <c r="E47" s="139" t="s">
        <v>9</v>
      </c>
      <c r="F47" s="140"/>
      <c r="G47" s="141" t="s">
        <v>8</v>
      </c>
    </row>
    <row r="48" spans="1:8" ht="30" customHeight="1" thickBot="1">
      <c r="A48" s="135"/>
      <c r="B48" s="136"/>
      <c r="C48" s="14" t="s">
        <v>5</v>
      </c>
      <c r="D48" s="5" t="s">
        <v>4</v>
      </c>
      <c r="E48" s="5" t="s">
        <v>6</v>
      </c>
      <c r="F48" s="6" t="s">
        <v>7</v>
      </c>
      <c r="G48" s="142"/>
      <c r="H48" s="13"/>
    </row>
    <row r="49" spans="1:10" ht="53.25" customHeight="1" thickBot="1">
      <c r="A49" s="143" t="s">
        <v>119</v>
      </c>
      <c r="B49" s="144"/>
      <c r="C49" s="40">
        <v>4463.52</v>
      </c>
      <c r="D49" s="40">
        <v>4549.63</v>
      </c>
      <c r="E49" s="41">
        <f>D49-C49</f>
        <v>86.10999999999967</v>
      </c>
      <c r="F49" s="42">
        <f>E49-0.757</f>
        <v>85.35299999999967</v>
      </c>
      <c r="G49" s="113" t="s">
        <v>125</v>
      </c>
      <c r="I49" s="93"/>
      <c r="J49" s="114"/>
    </row>
    <row r="50" spans="1:10" ht="19.5" customHeight="1">
      <c r="A50" s="3" t="s">
        <v>14</v>
      </c>
      <c r="B50" s="3"/>
      <c r="C50" s="3"/>
      <c r="D50" s="3"/>
      <c r="E50" s="3"/>
      <c r="F50" s="44">
        <v>2944.5</v>
      </c>
      <c r="J50" s="56"/>
    </row>
    <row r="51" spans="1:10" ht="19.5" customHeight="1">
      <c r="A51" s="3" t="s">
        <v>15</v>
      </c>
      <c r="B51" s="3"/>
      <c r="C51" s="3"/>
      <c r="D51" s="3"/>
      <c r="E51" s="3"/>
      <c r="F51" s="44">
        <v>5.05</v>
      </c>
      <c r="J51" s="97"/>
    </row>
    <row r="52" spans="1:13" ht="18.75" customHeight="1">
      <c r="A52" s="3" t="s">
        <v>20</v>
      </c>
      <c r="B52" s="3"/>
      <c r="C52" s="3"/>
      <c r="D52" s="3"/>
      <c r="E52" s="3"/>
      <c r="F52" s="45">
        <v>0.051</v>
      </c>
      <c r="K52" s="15"/>
      <c r="M52" s="15"/>
    </row>
    <row r="53" spans="1:10" ht="18.75" customHeight="1">
      <c r="A53" s="3" t="s">
        <v>21</v>
      </c>
      <c r="B53" s="3"/>
      <c r="C53" s="3"/>
      <c r="D53" s="3"/>
      <c r="E53" s="3"/>
      <c r="F53" s="45">
        <f>1174+38.49</f>
        <v>1212.49</v>
      </c>
      <c r="J53" s="56"/>
    </row>
    <row r="54" spans="1:10" ht="30.75" customHeight="1">
      <c r="A54" s="125" t="s">
        <v>22</v>
      </c>
      <c r="B54" s="125"/>
      <c r="C54" s="125"/>
      <c r="D54" s="125"/>
      <c r="E54" s="125"/>
      <c r="F54" s="44">
        <f>(F53*F52)</f>
        <v>61.83698999999999</v>
      </c>
      <c r="H54" s="66"/>
      <c r="I54" s="15"/>
      <c r="J54" s="17"/>
    </row>
    <row r="55" spans="1:8" ht="22.5" customHeight="1">
      <c r="A55" s="125" t="s">
        <v>11</v>
      </c>
      <c r="B55" s="125"/>
      <c r="C55" s="125"/>
      <c r="D55" s="125"/>
      <c r="E55" s="125"/>
      <c r="F55" s="46">
        <v>0</v>
      </c>
      <c r="H55" s="7"/>
    </row>
    <row r="56" spans="1:8" ht="48" customHeight="1">
      <c r="A56" s="130" t="s">
        <v>36</v>
      </c>
      <c r="B56" s="130"/>
      <c r="C56" s="130"/>
      <c r="D56" s="130"/>
      <c r="E56" s="130"/>
      <c r="F56" s="57">
        <v>0</v>
      </c>
      <c r="G56" s="49"/>
      <c r="H56" s="66"/>
    </row>
    <row r="57" spans="1:10" ht="51" customHeight="1">
      <c r="A57" s="130" t="s">
        <v>39</v>
      </c>
      <c r="B57" s="130"/>
      <c r="C57" s="130"/>
      <c r="D57" s="130"/>
      <c r="E57" s="130"/>
      <c r="F57" s="63">
        <f>F56*(B67-G44)</f>
        <v>0</v>
      </c>
      <c r="G57" s="49"/>
      <c r="H57" s="7"/>
      <c r="I57" s="17"/>
      <c r="J57" s="56"/>
    </row>
    <row r="58" spans="1:10" ht="32.25" customHeight="1">
      <c r="A58" s="125" t="s">
        <v>46</v>
      </c>
      <c r="B58" s="125"/>
      <c r="C58" s="125"/>
      <c r="D58" s="125"/>
      <c r="E58" s="125"/>
      <c r="F58" s="47">
        <v>0</v>
      </c>
      <c r="G58" s="34"/>
      <c r="H58" s="50"/>
      <c r="J58" s="21"/>
    </row>
    <row r="59" spans="1:11" ht="32.25" customHeight="1">
      <c r="A59" s="125" t="s">
        <v>17</v>
      </c>
      <c r="B59" s="125"/>
      <c r="C59" s="125"/>
      <c r="D59" s="125"/>
      <c r="E59" s="125"/>
      <c r="F59" s="58">
        <v>6630</v>
      </c>
      <c r="K59" s="17"/>
    </row>
    <row r="60" spans="1:6" ht="32.25" customHeight="1">
      <c r="A60" s="125" t="s">
        <v>18</v>
      </c>
      <c r="B60" s="125"/>
      <c r="C60" s="125"/>
      <c r="D60" s="125"/>
      <c r="E60" s="125"/>
      <c r="F60" s="44">
        <f>F59/F50*F55</f>
        <v>0</v>
      </c>
    </row>
    <row r="61" spans="1:6" ht="32.25" customHeight="1">
      <c r="A61" s="125" t="s">
        <v>40</v>
      </c>
      <c r="B61" s="125"/>
      <c r="C61" s="125"/>
      <c r="D61" s="125"/>
      <c r="E61" s="125"/>
      <c r="F61" s="48">
        <f>F49/(F58+F54+F57)</f>
        <v>1.380290340781459</v>
      </c>
    </row>
    <row r="62" spans="1:7" ht="17.25" customHeight="1">
      <c r="A62" s="126" t="s">
        <v>10</v>
      </c>
      <c r="B62" s="126"/>
      <c r="C62" s="126"/>
      <c r="D62" s="126"/>
      <c r="E62" s="126"/>
      <c r="F62" s="126"/>
      <c r="G62" s="126"/>
    </row>
    <row r="63" spans="1:6" ht="32.25" customHeight="1">
      <c r="A63" s="125" t="s">
        <v>23</v>
      </c>
      <c r="B63" s="127"/>
      <c r="C63" s="127"/>
      <c r="D63" s="127"/>
      <c r="E63" s="127"/>
      <c r="F63" s="48">
        <f>F52*F61</f>
        <v>0.0703948073798544</v>
      </c>
    </row>
    <row r="64" spans="1:6" ht="32.25" customHeight="1">
      <c r="A64" s="125" t="s">
        <v>26</v>
      </c>
      <c r="B64" s="125"/>
      <c r="C64" s="125"/>
      <c r="D64" s="125"/>
      <c r="E64" s="125"/>
      <c r="F64" s="44">
        <f>3.23*F61*F50*F52</f>
        <v>669.5063583658397</v>
      </c>
    </row>
    <row r="65" ht="27.75" customHeight="1">
      <c r="A65" s="10" t="s">
        <v>41</v>
      </c>
    </row>
    <row r="66" spans="1:8" ht="48" customHeight="1">
      <c r="A66" s="8" t="s">
        <v>12</v>
      </c>
      <c r="B66" s="8" t="s">
        <v>16</v>
      </c>
      <c r="C66" s="16" t="s">
        <v>19</v>
      </c>
      <c r="D66" s="9" t="s">
        <v>2</v>
      </c>
      <c r="E66" s="128" t="s">
        <v>42</v>
      </c>
      <c r="F66" s="129"/>
      <c r="G66" s="22"/>
      <c r="H66" s="23"/>
    </row>
    <row r="67" spans="1:8" ht="17.25" customHeight="1">
      <c r="A67" s="2" t="s">
        <v>1</v>
      </c>
      <c r="B67" s="11">
        <f>38060.5</f>
        <v>38060.5</v>
      </c>
      <c r="C67" s="12">
        <f>F58</f>
        <v>0</v>
      </c>
      <c r="D67" s="33">
        <v>0</v>
      </c>
      <c r="E67" s="119">
        <v>0</v>
      </c>
      <c r="F67" s="119"/>
      <c r="G67" s="24"/>
      <c r="H67" s="25"/>
    </row>
    <row r="68" spans="1:6" ht="18.75">
      <c r="A68" s="2" t="s">
        <v>55</v>
      </c>
      <c r="B68" s="59"/>
      <c r="C68" s="60">
        <f>F56</f>
        <v>0</v>
      </c>
      <c r="D68" s="2"/>
      <c r="E68" s="120">
        <f>C68*F50</f>
        <v>0</v>
      </c>
      <c r="F68" s="121"/>
    </row>
    <row r="69" spans="1:6" ht="20.25">
      <c r="A69" s="122" t="s">
        <v>47</v>
      </c>
      <c r="B69" s="122"/>
      <c r="C69" s="122"/>
      <c r="D69" s="122"/>
      <c r="E69" s="123">
        <f>SUM(E67:F68)</f>
        <v>0</v>
      </c>
      <c r="F69" s="124"/>
    </row>
    <row r="70" spans="1:3" ht="24" customHeight="1">
      <c r="A70" s="3" t="s">
        <v>24</v>
      </c>
      <c r="B70" s="3"/>
      <c r="C70" s="3" t="s">
        <v>25</v>
      </c>
    </row>
  </sheetData>
  <sheetProtection/>
  <mergeCells count="28">
    <mergeCell ref="A1:G1"/>
    <mergeCell ref="A2:G2"/>
    <mergeCell ref="A3:G3"/>
    <mergeCell ref="A36:A37"/>
    <mergeCell ref="G36:G37"/>
    <mergeCell ref="H36:H37"/>
    <mergeCell ref="A44:B44"/>
    <mergeCell ref="A47:B48"/>
    <mergeCell ref="C47:D47"/>
    <mergeCell ref="E47:F47"/>
    <mergeCell ref="G47:G48"/>
    <mergeCell ref="A49:B49"/>
    <mergeCell ref="A54:E54"/>
    <mergeCell ref="A55:E55"/>
    <mergeCell ref="A56:E56"/>
    <mergeCell ref="A57:E57"/>
    <mergeCell ref="A58:E58"/>
    <mergeCell ref="A59:E59"/>
    <mergeCell ref="E67:F67"/>
    <mergeCell ref="E68:F68"/>
    <mergeCell ref="A69:D69"/>
    <mergeCell ref="E69:F69"/>
    <mergeCell ref="A60:E60"/>
    <mergeCell ref="A61:E61"/>
    <mergeCell ref="A62:G62"/>
    <mergeCell ref="A63:E63"/>
    <mergeCell ref="A64:E64"/>
    <mergeCell ref="E66:F6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J48" sqref="J48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3.57421875" style="1" customWidth="1"/>
    <col min="9" max="9" width="9.140625" style="1" customWidth="1"/>
    <col min="10" max="10" width="13.57421875" style="1" bestFit="1" customWidth="1"/>
    <col min="11" max="16384" width="9.140625" style="1" customWidth="1"/>
  </cols>
  <sheetData>
    <row r="1" spans="1:7" ht="18.75">
      <c r="A1" s="145" t="s">
        <v>0</v>
      </c>
      <c r="B1" s="145"/>
      <c r="C1" s="145"/>
      <c r="D1" s="145"/>
      <c r="E1" s="145"/>
      <c r="F1" s="145"/>
      <c r="G1" s="145"/>
    </row>
    <row r="2" spans="1:7" ht="18.75">
      <c r="A2" s="145" t="s">
        <v>110</v>
      </c>
      <c r="B2" s="145"/>
      <c r="C2" s="145"/>
      <c r="D2" s="145"/>
      <c r="E2" s="145"/>
      <c r="F2" s="145"/>
      <c r="G2" s="145"/>
    </row>
    <row r="3" spans="1:7" ht="18.75">
      <c r="A3" s="145" t="s">
        <v>61</v>
      </c>
      <c r="B3" s="145"/>
      <c r="C3" s="145"/>
      <c r="D3" s="145"/>
      <c r="E3" s="145"/>
      <c r="F3" s="145"/>
      <c r="G3" s="145"/>
    </row>
    <row r="4" spans="1:7" ht="18.75">
      <c r="A4" s="4"/>
      <c r="B4" s="4"/>
      <c r="C4" s="4"/>
      <c r="D4" s="4"/>
      <c r="E4" s="4"/>
      <c r="F4" s="4"/>
      <c r="G4" s="4"/>
    </row>
    <row r="5" spans="1:8" ht="37.5">
      <c r="A5" s="62" t="s">
        <v>54</v>
      </c>
      <c r="B5" s="28" t="s">
        <v>34</v>
      </c>
      <c r="C5" s="18" t="s">
        <v>5</v>
      </c>
      <c r="D5" s="18" t="s">
        <v>4</v>
      </c>
      <c r="E5" s="26" t="s">
        <v>28</v>
      </c>
      <c r="F5" s="27" t="s">
        <v>7</v>
      </c>
      <c r="G5" s="18" t="s">
        <v>35</v>
      </c>
      <c r="H5" s="67" t="s">
        <v>58</v>
      </c>
    </row>
    <row r="6" spans="1:10" ht="15.75">
      <c r="A6" s="69" t="s">
        <v>102</v>
      </c>
      <c r="B6" s="70" t="s">
        <v>103</v>
      </c>
      <c r="C6" s="86">
        <v>22.378</v>
      </c>
      <c r="D6" s="86">
        <v>22.925</v>
      </c>
      <c r="E6" s="85">
        <f aca="true" t="shared" si="0" ref="E6:E18">D6-C6</f>
        <v>0.5470000000000006</v>
      </c>
      <c r="F6" s="76"/>
      <c r="G6" s="72">
        <v>99.7</v>
      </c>
      <c r="H6" s="74">
        <f>E6*F46/G6+E63</f>
        <v>-7044.595905563422</v>
      </c>
      <c r="J6" s="75"/>
    </row>
    <row r="7" spans="1:10" ht="15.75">
      <c r="A7" s="69" t="s">
        <v>96</v>
      </c>
      <c r="B7" s="70" t="s">
        <v>97</v>
      </c>
      <c r="C7" s="71"/>
      <c r="D7" s="71"/>
      <c r="E7" s="38"/>
      <c r="F7" s="27"/>
      <c r="G7" s="72"/>
      <c r="H7" s="74"/>
      <c r="J7" s="75">
        <v>45.5</v>
      </c>
    </row>
    <row r="8" spans="1:8" ht="15.75">
      <c r="A8" s="69" t="s">
        <v>98</v>
      </c>
      <c r="B8" s="70" t="s">
        <v>99</v>
      </c>
      <c r="C8" s="71">
        <v>1.66</v>
      </c>
      <c r="D8" s="86">
        <v>2.024</v>
      </c>
      <c r="E8" s="85">
        <f t="shared" si="0"/>
        <v>0.3640000000000001</v>
      </c>
      <c r="F8" s="27"/>
      <c r="G8" s="72">
        <v>83.5</v>
      </c>
      <c r="H8" s="74">
        <f>E8*F46/G8+E63</f>
        <v>-7047.387237744757</v>
      </c>
    </row>
    <row r="9" spans="1:8" ht="15.75">
      <c r="A9" s="69" t="s">
        <v>62</v>
      </c>
      <c r="B9" s="70" t="s">
        <v>63</v>
      </c>
      <c r="C9" s="86">
        <v>12.491</v>
      </c>
      <c r="D9" s="86">
        <v>12.634</v>
      </c>
      <c r="E9" s="85">
        <f t="shared" si="0"/>
        <v>0.14300000000000068</v>
      </c>
      <c r="F9" s="27"/>
      <c r="G9" s="72">
        <v>45.3</v>
      </c>
      <c r="H9" s="74">
        <f>E9*F46/G9+E63</f>
        <v>-7050.365216936836</v>
      </c>
    </row>
    <row r="10" spans="1:8" ht="19.5" customHeight="1">
      <c r="A10" s="35" t="s">
        <v>29</v>
      </c>
      <c r="B10" s="36" t="s">
        <v>30</v>
      </c>
      <c r="C10" s="64">
        <v>15.588</v>
      </c>
      <c r="D10" s="64">
        <v>15.845</v>
      </c>
      <c r="E10" s="85">
        <f t="shared" si="0"/>
        <v>0.25700000000000145</v>
      </c>
      <c r="F10" s="37"/>
      <c r="G10" s="51">
        <v>79.7</v>
      </c>
      <c r="H10" s="74">
        <f>E10*F46/G10+E63</f>
        <v>-7050.1971707731045</v>
      </c>
    </row>
    <row r="11" spans="1:8" ht="19.5" customHeight="1">
      <c r="A11" s="35" t="s">
        <v>56</v>
      </c>
      <c r="B11" s="36" t="s">
        <v>57</v>
      </c>
      <c r="C11" s="37">
        <v>21.8</v>
      </c>
      <c r="D11" s="87">
        <v>21.85</v>
      </c>
      <c r="E11" s="38">
        <f t="shared" si="0"/>
        <v>0.05000000000000071</v>
      </c>
      <c r="F11" s="37"/>
      <c r="G11" s="51">
        <v>106</v>
      </c>
      <c r="H11" s="80">
        <f>E11*F46/G11+E63</f>
        <v>-7057.014410212275</v>
      </c>
    </row>
    <row r="12" spans="1:8" ht="19.5" customHeight="1">
      <c r="A12" s="35" t="s">
        <v>48</v>
      </c>
      <c r="B12" s="36" t="s">
        <v>49</v>
      </c>
      <c r="C12" s="64">
        <v>32.332</v>
      </c>
      <c r="D12" s="64">
        <v>32.779</v>
      </c>
      <c r="E12" s="85">
        <f t="shared" si="0"/>
        <v>0.44700000000000273</v>
      </c>
      <c r="F12" s="37"/>
      <c r="G12" s="51">
        <v>115.8</v>
      </c>
      <c r="H12" s="74">
        <f>E12*F46/G12+E63</f>
        <v>-7048.6233966821155</v>
      </c>
    </row>
    <row r="13" spans="1:8" ht="19.5" customHeight="1">
      <c r="A13" s="35" t="s">
        <v>64</v>
      </c>
      <c r="B13" s="36" t="s">
        <v>65</v>
      </c>
      <c r="C13" s="64">
        <v>0.736</v>
      </c>
      <c r="D13" s="64">
        <v>0.887</v>
      </c>
      <c r="E13" s="85">
        <f t="shared" si="0"/>
        <v>0.15100000000000002</v>
      </c>
      <c r="F13" s="37"/>
      <c r="G13" s="51">
        <v>85.5</v>
      </c>
      <c r="H13" s="80">
        <f>E13*F46/G13+E63</f>
        <v>-7053.8090112174605</v>
      </c>
    </row>
    <row r="14" spans="1:8" ht="19.5" customHeight="1">
      <c r="A14" s="35" t="s">
        <v>33</v>
      </c>
      <c r="B14" s="36" t="s">
        <v>31</v>
      </c>
      <c r="C14" s="64">
        <v>15.035</v>
      </c>
      <c r="D14" s="64">
        <v>15.078</v>
      </c>
      <c r="E14" s="85">
        <f t="shared" si="0"/>
        <v>0.04299999999999926</v>
      </c>
      <c r="F14" s="37"/>
      <c r="G14" s="51">
        <v>80.6</v>
      </c>
      <c r="H14" s="80">
        <f>E14*F46/G14+E63</f>
        <v>-7056.861367710285</v>
      </c>
    </row>
    <row r="15" spans="1:8" ht="19.5" customHeight="1">
      <c r="A15" s="35" t="s">
        <v>32</v>
      </c>
      <c r="B15" s="36" t="s">
        <v>44</v>
      </c>
      <c r="C15" s="37">
        <v>22.05</v>
      </c>
      <c r="D15" s="37">
        <v>22.4</v>
      </c>
      <c r="E15" s="38">
        <f t="shared" si="0"/>
        <v>0.34999999999999787</v>
      </c>
      <c r="F15" s="37"/>
      <c r="G15" s="51">
        <v>104</v>
      </c>
      <c r="H15" s="74">
        <f>E15*F46/G15+E63</f>
        <v>-7049.848513895148</v>
      </c>
    </row>
    <row r="16" spans="1:8" ht="19.5" customHeight="1">
      <c r="A16" s="35" t="s">
        <v>66</v>
      </c>
      <c r="B16" s="36" t="s">
        <v>67</v>
      </c>
      <c r="C16" s="64">
        <v>36.036</v>
      </c>
      <c r="D16" s="64">
        <v>36.809</v>
      </c>
      <c r="E16" s="85">
        <f t="shared" si="0"/>
        <v>0.7729999999999961</v>
      </c>
      <c r="F16" s="37"/>
      <c r="G16" s="51">
        <v>110</v>
      </c>
      <c r="H16" s="74">
        <f>E16*F46/G16+E63</f>
        <v>-7040.78025079375</v>
      </c>
    </row>
    <row r="17" spans="1:10" ht="19.5" customHeight="1">
      <c r="A17" s="35" t="s">
        <v>89</v>
      </c>
      <c r="B17" s="36" t="s">
        <v>90</v>
      </c>
      <c r="C17" s="37">
        <v>1.14</v>
      </c>
      <c r="D17" s="37">
        <v>1.149</v>
      </c>
      <c r="E17" s="82">
        <f t="shared" si="0"/>
        <v>0.009000000000000119</v>
      </c>
      <c r="F17" s="37"/>
      <c r="G17" s="90">
        <v>79.4</v>
      </c>
      <c r="H17" s="74">
        <f>E17*F46/G17+E63</f>
        <v>-7057.901819584453</v>
      </c>
      <c r="J17" s="75">
        <v>79.4</v>
      </c>
    </row>
    <row r="18" spans="1:10" ht="19.5" customHeight="1">
      <c r="A18" s="35" t="s">
        <v>100</v>
      </c>
      <c r="B18" s="36" t="s">
        <v>101</v>
      </c>
      <c r="C18" s="64">
        <v>1.243</v>
      </c>
      <c r="D18" s="64">
        <v>1.516</v>
      </c>
      <c r="E18" s="85">
        <f t="shared" si="0"/>
        <v>0.2729999999999999</v>
      </c>
      <c r="F18" s="37"/>
      <c r="G18" s="51">
        <v>51.8</v>
      </c>
      <c r="H18" s="74">
        <f>E18*F46/G18+E63</f>
        <v>-7045.1312741082465</v>
      </c>
      <c r="J18" s="75"/>
    </row>
    <row r="19" spans="1:10" ht="19.5" customHeight="1">
      <c r="A19" s="35" t="s">
        <v>70</v>
      </c>
      <c r="B19" s="36" t="s">
        <v>71</v>
      </c>
      <c r="C19" s="37"/>
      <c r="D19" s="37"/>
      <c r="E19" s="38"/>
      <c r="F19" s="37"/>
      <c r="G19" s="51"/>
      <c r="H19" s="68"/>
      <c r="J19" s="75">
        <v>110.8</v>
      </c>
    </row>
    <row r="20" spans="1:10" ht="19.5" customHeight="1">
      <c r="A20" s="35" t="s">
        <v>105</v>
      </c>
      <c r="B20" s="36" t="s">
        <v>106</v>
      </c>
      <c r="C20" s="37"/>
      <c r="D20" s="37"/>
      <c r="E20" s="38"/>
      <c r="F20" s="37"/>
      <c r="G20" s="77"/>
      <c r="H20" s="68"/>
      <c r="J20" s="75">
        <v>110.4</v>
      </c>
    </row>
    <row r="21" spans="1:10" ht="19.5" customHeight="1">
      <c r="A21" s="35" t="s">
        <v>74</v>
      </c>
      <c r="B21" s="36" t="s">
        <v>75</v>
      </c>
      <c r="C21" s="37">
        <v>0.86</v>
      </c>
      <c r="D21" s="64">
        <v>0.956</v>
      </c>
      <c r="E21" s="85">
        <f aca="true" t="shared" si="1" ref="E21:E32">D21-C21</f>
        <v>0.09599999999999997</v>
      </c>
      <c r="F21" s="37"/>
      <c r="G21" s="77">
        <v>78.7</v>
      </c>
      <c r="H21" s="81">
        <f>E21*F46/G21+E63</f>
        <v>-7055.161763429652</v>
      </c>
      <c r="J21" s="75"/>
    </row>
    <row r="22" spans="1:10" ht="19.5" customHeight="1">
      <c r="A22" s="35" t="s">
        <v>79</v>
      </c>
      <c r="B22" s="36" t="s">
        <v>80</v>
      </c>
      <c r="C22" s="64">
        <v>0.755</v>
      </c>
      <c r="D22" s="64">
        <v>0.768</v>
      </c>
      <c r="E22" s="85">
        <f t="shared" si="1"/>
        <v>0.013000000000000012</v>
      </c>
      <c r="F22" s="37"/>
      <c r="G22" s="77">
        <v>50.8</v>
      </c>
      <c r="H22" s="81">
        <f>E22*F46/G22+E63</f>
        <v>-7057.548796852447</v>
      </c>
      <c r="J22" s="75"/>
    </row>
    <row r="23" spans="1:10" ht="19.5" customHeight="1">
      <c r="A23" s="35" t="s">
        <v>76</v>
      </c>
      <c r="B23" s="36" t="s">
        <v>77</v>
      </c>
      <c r="C23" s="37">
        <v>0.41</v>
      </c>
      <c r="D23" s="37">
        <v>0.411</v>
      </c>
      <c r="E23" s="82">
        <f t="shared" si="1"/>
        <v>0.0010000000000000009</v>
      </c>
      <c r="F23" s="83"/>
      <c r="G23" s="90">
        <v>50.8</v>
      </c>
      <c r="H23" s="81">
        <f>E23*F46/G23+E63</f>
        <v>-7058.133770868195</v>
      </c>
      <c r="J23" s="75">
        <v>50.8</v>
      </c>
    </row>
    <row r="24" spans="1:10" ht="19.5" customHeight="1">
      <c r="A24" s="35" t="s">
        <v>52</v>
      </c>
      <c r="B24" s="36" t="s">
        <v>53</v>
      </c>
      <c r="C24" s="37"/>
      <c r="D24" s="37"/>
      <c r="E24" s="38"/>
      <c r="F24" s="37"/>
      <c r="G24" s="77"/>
      <c r="H24" s="68"/>
      <c r="J24" s="75">
        <v>114.4</v>
      </c>
    </row>
    <row r="25" spans="1:10" ht="19.5" customHeight="1">
      <c r="A25" s="35" t="s">
        <v>91</v>
      </c>
      <c r="B25" s="36" t="s">
        <v>92</v>
      </c>
      <c r="C25" s="64">
        <v>0.679</v>
      </c>
      <c r="D25" s="64">
        <v>0.679</v>
      </c>
      <c r="E25" s="38">
        <f t="shared" si="1"/>
        <v>0</v>
      </c>
      <c r="F25" s="37"/>
      <c r="G25" s="91"/>
      <c r="H25" s="68"/>
      <c r="J25" s="75">
        <v>60.98</v>
      </c>
    </row>
    <row r="26" spans="1:10" ht="19.5" customHeight="1">
      <c r="A26" s="35" t="s">
        <v>109</v>
      </c>
      <c r="B26" s="36"/>
      <c r="C26" s="37"/>
      <c r="D26" s="37"/>
      <c r="E26" s="79"/>
      <c r="F26" s="37"/>
      <c r="G26" s="78"/>
      <c r="H26" s="68"/>
      <c r="J26" s="75"/>
    </row>
    <row r="27" spans="1:10" ht="19.5" customHeight="1">
      <c r="A27" s="35" t="s">
        <v>94</v>
      </c>
      <c r="B27" s="36" t="s">
        <v>78</v>
      </c>
      <c r="C27" s="73">
        <v>0.034</v>
      </c>
      <c r="D27" s="37">
        <v>0.041</v>
      </c>
      <c r="E27" s="79">
        <f t="shared" si="1"/>
        <v>0.006999999999999999</v>
      </c>
      <c r="F27" s="83"/>
      <c r="G27" s="90">
        <v>47.3</v>
      </c>
      <c r="H27" s="81">
        <f>E27*F46/G27+E63</f>
        <v>-7057.816033924828</v>
      </c>
      <c r="J27" s="75">
        <v>47.3</v>
      </c>
    </row>
    <row r="28" spans="1:8" ht="19.5" customHeight="1">
      <c r="A28" s="35" t="s">
        <v>87</v>
      </c>
      <c r="B28" s="36" t="s">
        <v>88</v>
      </c>
      <c r="C28" s="37">
        <v>1.32</v>
      </c>
      <c r="D28" s="37">
        <v>1.34</v>
      </c>
      <c r="E28" s="79">
        <f t="shared" si="1"/>
        <v>0.020000000000000018</v>
      </c>
      <c r="F28" s="37"/>
      <c r="G28" s="77">
        <v>48.8</v>
      </c>
      <c r="H28" s="81">
        <f>E28*F46/G28+E63</f>
        <v>-7057.167604768414</v>
      </c>
    </row>
    <row r="29" spans="1:8" ht="19.5" customHeight="1">
      <c r="A29" s="35" t="s">
        <v>107</v>
      </c>
      <c r="B29" s="36" t="s">
        <v>108</v>
      </c>
      <c r="C29" s="37">
        <v>0.84</v>
      </c>
      <c r="D29" s="37">
        <v>0.9</v>
      </c>
      <c r="E29" s="79">
        <f t="shared" si="1"/>
        <v>0.06000000000000005</v>
      </c>
      <c r="F29" s="37"/>
      <c r="G29" s="77">
        <v>48.8</v>
      </c>
      <c r="H29" s="81">
        <f>E29*F46/G29+E63</f>
        <v>-7055.137776899562</v>
      </c>
    </row>
    <row r="30" spans="1:12" ht="19.5" customHeight="1">
      <c r="A30" s="36" t="s">
        <v>43</v>
      </c>
      <c r="B30" s="36" t="s">
        <v>45</v>
      </c>
      <c r="C30" s="37"/>
      <c r="D30" s="37"/>
      <c r="E30" s="79"/>
      <c r="F30" s="37"/>
      <c r="G30" s="77"/>
      <c r="H30" s="68"/>
      <c r="J30" s="75">
        <v>111.8</v>
      </c>
      <c r="L30" s="75"/>
    </row>
    <row r="31" spans="1:10" ht="19.5" customHeight="1">
      <c r="A31" s="36" t="s">
        <v>93</v>
      </c>
      <c r="B31" s="61" t="s">
        <v>95</v>
      </c>
      <c r="C31" s="37">
        <v>1.26</v>
      </c>
      <c r="D31" s="37">
        <v>1.269</v>
      </c>
      <c r="E31" s="92">
        <f>D31-C31</f>
        <v>0.008999999999999897</v>
      </c>
      <c r="F31" s="83"/>
      <c r="G31" s="90">
        <v>105.6</v>
      </c>
      <c r="H31" s="81">
        <f>E31*F46/G31+E63</f>
        <v>-7057.971462736931</v>
      </c>
      <c r="J31" s="75">
        <v>105.6</v>
      </c>
    </row>
    <row r="32" spans="1:8" ht="19.5" customHeight="1">
      <c r="A32" s="146" t="s">
        <v>104</v>
      </c>
      <c r="B32" s="61" t="s">
        <v>68</v>
      </c>
      <c r="C32" s="64">
        <v>18.476</v>
      </c>
      <c r="D32" s="64">
        <v>18.627</v>
      </c>
      <c r="E32" s="88">
        <f t="shared" si="1"/>
        <v>0.1509999999999998</v>
      </c>
      <c r="F32" s="37"/>
      <c r="G32" s="148">
        <v>213.8</v>
      </c>
      <c r="H32" s="157">
        <f>(E32+E33)*F46/G32+E63</f>
        <v>-7055.831222304338</v>
      </c>
    </row>
    <row r="33" spans="1:8" ht="19.5" customHeight="1">
      <c r="A33" s="147"/>
      <c r="B33" s="61" t="s">
        <v>69</v>
      </c>
      <c r="C33" s="64">
        <v>13.279</v>
      </c>
      <c r="D33" s="64">
        <v>13.331</v>
      </c>
      <c r="E33" s="88">
        <f>D33-C33</f>
        <v>0.0519999999999996</v>
      </c>
      <c r="F33" s="37"/>
      <c r="G33" s="149"/>
      <c r="H33" s="158"/>
    </row>
    <row r="34" spans="1:10" ht="19.5" customHeight="1">
      <c r="A34" s="36" t="s">
        <v>72</v>
      </c>
      <c r="B34" s="61" t="s">
        <v>73</v>
      </c>
      <c r="C34" s="37"/>
      <c r="D34" s="37"/>
      <c r="E34" s="79"/>
      <c r="F34" s="37"/>
      <c r="G34" s="51"/>
      <c r="H34" s="68"/>
      <c r="J34" s="75">
        <v>74.6</v>
      </c>
    </row>
    <row r="35" spans="1:8" ht="19.5" customHeight="1">
      <c r="A35" s="36" t="s">
        <v>59</v>
      </c>
      <c r="B35" s="61" t="s">
        <v>60</v>
      </c>
      <c r="C35" s="64">
        <v>25.601</v>
      </c>
      <c r="D35" s="64">
        <v>26.133</v>
      </c>
      <c r="E35" s="88">
        <f>D35-C35</f>
        <v>0.532</v>
      </c>
      <c r="F35" s="37"/>
      <c r="G35" s="51">
        <v>107.2</v>
      </c>
      <c r="H35" s="68">
        <f>E35*F46/G35+E63</f>
        <v>-7045.892971314781</v>
      </c>
    </row>
    <row r="36" spans="1:8" ht="19.5" customHeight="1">
      <c r="A36" s="36" t="s">
        <v>51</v>
      </c>
      <c r="B36" s="61" t="s">
        <v>50</v>
      </c>
      <c r="C36" s="64">
        <v>4.906</v>
      </c>
      <c r="D36" s="64">
        <v>4.926</v>
      </c>
      <c r="E36" s="79">
        <f>D36-C36</f>
        <v>0.020000000000000462</v>
      </c>
      <c r="F36" s="37"/>
      <c r="G36" s="51">
        <v>74.4</v>
      </c>
      <c r="H36" s="81">
        <f>E36*F46/G36+E63</f>
        <v>-7057.516822466281</v>
      </c>
    </row>
    <row r="37" spans="1:10" ht="19.5" customHeight="1">
      <c r="A37" s="35" t="s">
        <v>84</v>
      </c>
      <c r="B37" s="36" t="s">
        <v>85</v>
      </c>
      <c r="C37" s="73"/>
      <c r="D37" s="73"/>
      <c r="E37" s="38"/>
      <c r="F37" s="37"/>
      <c r="G37" s="51"/>
      <c r="H37" s="68"/>
      <c r="J37" s="75">
        <v>78.8</v>
      </c>
    </row>
    <row r="38" spans="1:10" ht="19.5" customHeight="1">
      <c r="A38" s="35" t="s">
        <v>81</v>
      </c>
      <c r="B38" s="36" t="s">
        <v>82</v>
      </c>
      <c r="C38" s="73"/>
      <c r="D38" s="73"/>
      <c r="E38" s="38"/>
      <c r="F38" s="37"/>
      <c r="G38" s="51"/>
      <c r="H38" s="68"/>
      <c r="J38" s="75">
        <v>78.6</v>
      </c>
    </row>
    <row r="39" spans="1:8" ht="19.5" customHeight="1">
      <c r="A39" s="35" t="s">
        <v>83</v>
      </c>
      <c r="B39" s="61" t="s">
        <v>86</v>
      </c>
      <c r="C39" s="64">
        <v>1.969</v>
      </c>
      <c r="D39" s="64">
        <v>2.048</v>
      </c>
      <c r="E39" s="85">
        <f>D39-C39</f>
        <v>0.07899999999999996</v>
      </c>
      <c r="F39" s="37"/>
      <c r="G39" s="51">
        <v>112.6</v>
      </c>
      <c r="H39" s="81">
        <f>E39*F46/G39+E63</f>
        <v>-7056.44508699769</v>
      </c>
    </row>
    <row r="40" spans="1:10" ht="19.5" customHeight="1">
      <c r="A40" s="131"/>
      <c r="B40" s="132"/>
      <c r="C40" s="39"/>
      <c r="D40" s="54" t="s">
        <v>37</v>
      </c>
      <c r="E40" s="89">
        <f>SUM(E6:E39)</f>
        <v>4.446999999999999</v>
      </c>
      <c r="F40" s="53" t="s">
        <v>38</v>
      </c>
      <c r="G40" s="52">
        <f>SUM(G6:G39)</f>
        <v>1980.0999999999997</v>
      </c>
      <c r="H40" s="2"/>
      <c r="J40" s="55"/>
    </row>
    <row r="41" spans="1:7" ht="19.5" customHeight="1">
      <c r="A41" s="31"/>
      <c r="B41" s="31"/>
      <c r="C41" s="32"/>
      <c r="D41" s="32"/>
      <c r="E41" s="32"/>
      <c r="F41" s="29"/>
      <c r="G41" s="30"/>
    </row>
    <row r="42" spans="1:7" ht="19.5" customHeight="1" thickBot="1">
      <c r="A42" s="19"/>
      <c r="B42" s="19"/>
      <c r="C42" s="20"/>
      <c r="D42" s="20"/>
      <c r="E42" s="20"/>
      <c r="F42" s="4"/>
      <c r="G42" s="4"/>
    </row>
    <row r="43" spans="1:7" ht="33" customHeight="1" thickBot="1">
      <c r="A43" s="133" t="s">
        <v>27</v>
      </c>
      <c r="B43" s="134"/>
      <c r="C43" s="137" t="s">
        <v>3</v>
      </c>
      <c r="D43" s="138"/>
      <c r="E43" s="139" t="s">
        <v>9</v>
      </c>
      <c r="F43" s="140"/>
      <c r="G43" s="141" t="s">
        <v>8</v>
      </c>
    </row>
    <row r="44" spans="1:8" ht="30" customHeight="1" thickBot="1">
      <c r="A44" s="135"/>
      <c r="B44" s="136"/>
      <c r="C44" s="14" t="s">
        <v>5</v>
      </c>
      <c r="D44" s="5" t="s">
        <v>4</v>
      </c>
      <c r="E44" s="5" t="s">
        <v>6</v>
      </c>
      <c r="F44" s="6" t="s">
        <v>7</v>
      </c>
      <c r="G44" s="142"/>
      <c r="H44" s="13"/>
    </row>
    <row r="45" spans="1:9" ht="68.25" customHeight="1" thickBot="1">
      <c r="A45" s="143" t="s">
        <v>13</v>
      </c>
      <c r="B45" s="144"/>
      <c r="C45" s="40">
        <v>108000.22</v>
      </c>
      <c r="D45" s="40"/>
      <c r="E45" s="41">
        <f>D45-C45</f>
        <v>-108000.22</v>
      </c>
      <c r="F45" s="42">
        <f>E45+0.54+4.48</f>
        <v>-107995.20000000001</v>
      </c>
      <c r="G45" s="43" t="s">
        <v>111</v>
      </c>
      <c r="I45" s="17"/>
    </row>
    <row r="46" spans="1:6" ht="19.5" customHeight="1">
      <c r="A46" s="3" t="s">
        <v>14</v>
      </c>
      <c r="B46" s="3"/>
      <c r="C46" s="3"/>
      <c r="D46" s="3"/>
      <c r="E46" s="3"/>
      <c r="F46" s="44">
        <v>2476.39</v>
      </c>
    </row>
    <row r="47" spans="1:6" ht="19.5" customHeight="1">
      <c r="A47" s="3" t="s">
        <v>15</v>
      </c>
      <c r="B47" s="3"/>
      <c r="C47" s="3"/>
      <c r="D47" s="3"/>
      <c r="E47" s="3"/>
      <c r="F47" s="44">
        <v>4.29</v>
      </c>
    </row>
    <row r="48" spans="1:13" ht="18.75" customHeight="1">
      <c r="A48" s="3" t="s">
        <v>20</v>
      </c>
      <c r="B48" s="3"/>
      <c r="C48" s="3"/>
      <c r="D48" s="3"/>
      <c r="E48" s="3"/>
      <c r="F48" s="45">
        <v>0.051</v>
      </c>
      <c r="K48" s="15"/>
      <c r="M48" s="15"/>
    </row>
    <row r="49" spans="1:6" ht="18.75" customHeight="1">
      <c r="A49" s="3" t="s">
        <v>21</v>
      </c>
      <c r="B49" s="3"/>
      <c r="C49" s="3"/>
      <c r="D49" s="3"/>
      <c r="E49" s="3"/>
      <c r="F49" s="45">
        <f>1862+39</f>
        <v>1901</v>
      </c>
    </row>
    <row r="50" spans="1:10" ht="30.75" customHeight="1">
      <c r="A50" s="125" t="s">
        <v>22</v>
      </c>
      <c r="B50" s="125"/>
      <c r="C50" s="125"/>
      <c r="D50" s="125"/>
      <c r="E50" s="125"/>
      <c r="F50" s="44">
        <f>(F49*F48)</f>
        <v>96.951</v>
      </c>
      <c r="H50" s="66"/>
      <c r="I50" s="15"/>
      <c r="J50" s="17"/>
    </row>
    <row r="51" spans="1:8" ht="22.5" customHeight="1">
      <c r="A51" s="125" t="s">
        <v>11</v>
      </c>
      <c r="B51" s="125"/>
      <c r="C51" s="125"/>
      <c r="D51" s="125"/>
      <c r="E51" s="125"/>
      <c r="F51" s="46">
        <v>0</v>
      </c>
      <c r="H51" s="7"/>
    </row>
    <row r="52" spans="1:8" ht="48" customHeight="1">
      <c r="A52" s="130" t="s">
        <v>36</v>
      </c>
      <c r="B52" s="130"/>
      <c r="C52" s="130"/>
      <c r="D52" s="130"/>
      <c r="E52" s="130"/>
      <c r="F52" s="57">
        <f>E40/G40</f>
        <v>0.0022458461693853843</v>
      </c>
      <c r="G52" s="49"/>
      <c r="H52" s="66"/>
    </row>
    <row r="53" spans="1:10" ht="51" customHeight="1">
      <c r="A53" s="130" t="s">
        <v>39</v>
      </c>
      <c r="B53" s="130"/>
      <c r="C53" s="130"/>
      <c r="D53" s="130"/>
      <c r="E53" s="130"/>
      <c r="F53" s="63">
        <f>F52*(B63-G40)</f>
        <v>80.76444618958638</v>
      </c>
      <c r="G53" s="49"/>
      <c r="H53" s="7"/>
      <c r="I53" s="17"/>
      <c r="J53" s="56"/>
    </row>
    <row r="54" spans="1:10" ht="32.25" customHeight="1">
      <c r="A54" s="125" t="s">
        <v>46</v>
      </c>
      <c r="B54" s="125"/>
      <c r="C54" s="125"/>
      <c r="D54" s="125"/>
      <c r="E54" s="125"/>
      <c r="F54" s="47">
        <f>F45-F50-E40-F53</f>
        <v>-108177.3624461896</v>
      </c>
      <c r="G54" s="34"/>
      <c r="H54" s="50"/>
      <c r="J54" s="21"/>
    </row>
    <row r="55" spans="1:11" ht="32.25" customHeight="1">
      <c r="A55" s="125" t="s">
        <v>17</v>
      </c>
      <c r="B55" s="125"/>
      <c r="C55" s="125"/>
      <c r="D55" s="125"/>
      <c r="E55" s="125"/>
      <c r="F55" s="58">
        <v>20790</v>
      </c>
      <c r="K55" s="17"/>
    </row>
    <row r="56" spans="1:6" ht="32.25" customHeight="1">
      <c r="A56" s="125" t="s">
        <v>18</v>
      </c>
      <c r="B56" s="125"/>
      <c r="C56" s="125"/>
      <c r="D56" s="125"/>
      <c r="E56" s="125"/>
      <c r="F56" s="44">
        <f>F55/F46*F51</f>
        <v>0</v>
      </c>
    </row>
    <row r="57" spans="1:6" ht="32.25" customHeight="1">
      <c r="A57" s="125" t="s">
        <v>40</v>
      </c>
      <c r="B57" s="125"/>
      <c r="C57" s="125"/>
      <c r="D57" s="125"/>
      <c r="E57" s="125"/>
      <c r="F57" s="48">
        <f>F45/(F54+F50+E40+F53)</f>
        <v>1</v>
      </c>
    </row>
    <row r="58" spans="1:7" ht="17.25" customHeight="1">
      <c r="A58" s="126" t="s">
        <v>10</v>
      </c>
      <c r="B58" s="126"/>
      <c r="C58" s="126"/>
      <c r="D58" s="126"/>
      <c r="E58" s="126"/>
      <c r="F58" s="126"/>
      <c r="G58" s="126"/>
    </row>
    <row r="59" spans="1:6" ht="32.25" customHeight="1">
      <c r="A59" s="125" t="s">
        <v>23</v>
      </c>
      <c r="B59" s="127"/>
      <c r="C59" s="127"/>
      <c r="D59" s="127"/>
      <c r="E59" s="127"/>
      <c r="F59" s="65">
        <f>F48*F57</f>
        <v>0.051</v>
      </c>
    </row>
    <row r="60" spans="1:6" ht="32.25" customHeight="1">
      <c r="A60" s="125" t="s">
        <v>26</v>
      </c>
      <c r="B60" s="125"/>
      <c r="C60" s="125"/>
      <c r="D60" s="125"/>
      <c r="E60" s="125"/>
      <c r="F60" s="44">
        <f>3.23*F57*F46*F48</f>
        <v>407.9357246999999</v>
      </c>
    </row>
    <row r="61" ht="27.75" customHeight="1">
      <c r="A61" s="10" t="s">
        <v>41</v>
      </c>
    </row>
    <row r="62" spans="1:8" ht="48" customHeight="1">
      <c r="A62" s="8" t="s">
        <v>12</v>
      </c>
      <c r="B62" s="8" t="s">
        <v>16</v>
      </c>
      <c r="C62" s="16" t="s">
        <v>19</v>
      </c>
      <c r="D62" s="9" t="s">
        <v>2</v>
      </c>
      <c r="E62" s="128" t="s">
        <v>42</v>
      </c>
      <c r="F62" s="129"/>
      <c r="G62" s="22"/>
      <c r="H62" s="23"/>
    </row>
    <row r="63" spans="1:8" ht="17.25" customHeight="1">
      <c r="A63" s="2" t="s">
        <v>1</v>
      </c>
      <c r="B63" s="11">
        <f>37959-14.5-2.7</f>
        <v>37941.8</v>
      </c>
      <c r="C63" s="12">
        <f>F54</f>
        <v>-108177.3624461896</v>
      </c>
      <c r="D63" s="33">
        <v>20790</v>
      </c>
      <c r="E63" s="152">
        <f>C63/B63*F46+D63/B63*F47</f>
        <v>-7058.182518702841</v>
      </c>
      <c r="F63" s="152"/>
      <c r="G63" s="24"/>
      <c r="H63" s="25"/>
    </row>
    <row r="64" spans="1:6" ht="18.75">
      <c r="A64" s="2" t="s">
        <v>55</v>
      </c>
      <c r="B64" s="59"/>
      <c r="C64" s="60">
        <f>F52</f>
        <v>0.0022458461693853843</v>
      </c>
      <c r="D64" s="2"/>
      <c r="E64" s="153">
        <f>C64*F46</f>
        <v>5.561590995404272</v>
      </c>
      <c r="F64" s="154"/>
    </row>
    <row r="65" spans="1:6" ht="18.75">
      <c r="A65" s="122" t="s">
        <v>47</v>
      </c>
      <c r="B65" s="122"/>
      <c r="C65" s="122"/>
      <c r="D65" s="122"/>
      <c r="E65" s="155">
        <f>SUM(E63:F64)</f>
        <v>-7052.620927707437</v>
      </c>
      <c r="F65" s="156"/>
    </row>
    <row r="66" spans="1:3" ht="24" customHeight="1">
      <c r="A66" s="3" t="s">
        <v>24</v>
      </c>
      <c r="B66" s="3"/>
      <c r="C66" s="3" t="s">
        <v>25</v>
      </c>
    </row>
  </sheetData>
  <sheetProtection/>
  <mergeCells count="28">
    <mergeCell ref="A1:G1"/>
    <mergeCell ref="A2:G2"/>
    <mergeCell ref="A3:G3"/>
    <mergeCell ref="A32:A33"/>
    <mergeCell ref="G32:G33"/>
    <mergeCell ref="H32:H33"/>
    <mergeCell ref="A40:B40"/>
    <mergeCell ref="A43:B44"/>
    <mergeCell ref="C43:D43"/>
    <mergeCell ref="E43:F43"/>
    <mergeCell ref="G43:G44"/>
    <mergeCell ref="A45:B45"/>
    <mergeCell ref="A50:E50"/>
    <mergeCell ref="A51:E51"/>
    <mergeCell ref="A52:E52"/>
    <mergeCell ref="A53:E53"/>
    <mergeCell ref="A54:E54"/>
    <mergeCell ref="A55:E55"/>
    <mergeCell ref="E63:F63"/>
    <mergeCell ref="E64:F64"/>
    <mergeCell ref="A65:D65"/>
    <mergeCell ref="E65:F65"/>
    <mergeCell ref="A56:E56"/>
    <mergeCell ref="A57:E57"/>
    <mergeCell ref="A58:G58"/>
    <mergeCell ref="A59:E59"/>
    <mergeCell ref="A60:E60"/>
    <mergeCell ref="E62:F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2022-03-24T06:25:07Z</cp:lastPrinted>
  <dcterms:created xsi:type="dcterms:W3CDTF">1996-10-08T23:32:33Z</dcterms:created>
  <dcterms:modified xsi:type="dcterms:W3CDTF">2023-06-27T09:05:13Z</dcterms:modified>
  <cp:category/>
  <cp:version/>
  <cp:contentType/>
  <cp:contentStatus/>
</cp:coreProperties>
</file>